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84" windowWidth="14340" windowHeight="8976" activeTab="0"/>
  </bookViews>
  <sheets>
    <sheet name="6mo" sheetId="1" r:id="rId1"/>
    <sheet name="fish" sheetId="2" r:id="rId2"/>
  </sheets>
  <definedNames/>
  <calcPr fullCalcOnLoad="1"/>
</workbook>
</file>

<file path=xl/sharedStrings.xml><?xml version="1.0" encoding="utf-8"?>
<sst xmlns="http://schemas.openxmlformats.org/spreadsheetml/2006/main" count="104" uniqueCount="80">
  <si>
    <t>Budget</t>
  </si>
  <si>
    <t>BUDGET</t>
  </si>
  <si>
    <t>Salaries</t>
  </si>
  <si>
    <t>Faculty</t>
  </si>
  <si>
    <t>Units (months/hours)</t>
  </si>
  <si>
    <t>Rate</t>
  </si>
  <si>
    <t>1/2 month</t>
  </si>
  <si>
    <t>Total Faculty Salaries</t>
  </si>
  <si>
    <t>Professional Staff</t>
  </si>
  <si>
    <t>Technician</t>
  </si>
  <si>
    <t>Total Professional Staff Salaries</t>
  </si>
  <si>
    <t>Graduate Students</t>
  </si>
  <si>
    <t>New student</t>
  </si>
  <si>
    <t>TOTAL SALARIES AND WAGES</t>
  </si>
  <si>
    <t>Employee Benefits</t>
  </si>
  <si>
    <t>Professional staff</t>
  </si>
  <si>
    <t>Hourly employees</t>
  </si>
  <si>
    <t>TOTAL BENEFITS</t>
  </si>
  <si>
    <t>Travel</t>
  </si>
  <si>
    <t>camp fees for last year</t>
  </si>
  <si>
    <t>Graduate student operating fee</t>
  </si>
  <si>
    <t>TOTAL DIRECT COSTS</t>
  </si>
  <si>
    <t>TOTAL PROPOSED BUDGET</t>
  </si>
  <si>
    <t>AMOUNT SUBJECT TO INDIRECT COST</t>
  </si>
  <si>
    <t>Bench fees</t>
  </si>
  <si>
    <t>MegaBace</t>
  </si>
  <si>
    <t>Fish to be screen</t>
  </si>
  <si>
    <t>Year</t>
  </si>
  <si>
    <t>A Creek</t>
  </si>
  <si>
    <t>C Creek</t>
  </si>
  <si>
    <t>Site</t>
  </si>
  <si>
    <t>Tagged</t>
  </si>
  <si>
    <t>Genetics</t>
  </si>
  <si>
    <t>%</t>
  </si>
  <si>
    <t>Average run size</t>
  </si>
  <si>
    <t>C</t>
  </si>
  <si>
    <t xml:space="preserve">A </t>
  </si>
  <si>
    <t>about 400 fish / year each stream</t>
  </si>
  <si>
    <t>To screen</t>
  </si>
  <si>
    <t>2003-2006</t>
  </si>
  <si>
    <t>Loci</t>
  </si>
  <si>
    <t>MegaBace runs</t>
  </si>
  <si>
    <t>costs</t>
  </si>
  <si>
    <t>DNA extraction</t>
  </si>
  <si>
    <t>Ladder, enzyme primers</t>
  </si>
  <si>
    <t>benchfees</t>
  </si>
  <si>
    <t>months</t>
  </si>
  <si>
    <t>assumin 200 fish / person/ month</t>
  </si>
  <si>
    <t>cost per fish</t>
  </si>
  <si>
    <t>primers, ladder, enzyme</t>
  </si>
  <si>
    <t>GRAND TOTAL</t>
  </si>
  <si>
    <t>flights to Alaska</t>
  </si>
  <si>
    <t>Conferences</t>
  </si>
  <si>
    <t>Total Travel</t>
  </si>
  <si>
    <t>Undergraduates</t>
  </si>
  <si>
    <t>Total  Students</t>
  </si>
  <si>
    <r>
      <t>Indirect Cost</t>
    </r>
    <r>
      <rPr>
        <sz val="9"/>
        <rFont val="Times New Roman"/>
        <family val="1"/>
      </rPr>
      <t xml:space="preserve"> (26% of TDC excluding subcontracts, equipment and GSOF) </t>
    </r>
  </si>
  <si>
    <t>2007-2011</t>
  </si>
  <si>
    <t>DNA plates</t>
  </si>
  <si>
    <t>Cheery picking (20%)</t>
  </si>
  <si>
    <t>total MegaBace runs</t>
  </si>
  <si>
    <t>parents</t>
  </si>
  <si>
    <t>offspring</t>
  </si>
  <si>
    <t>Total</t>
  </si>
  <si>
    <t>1/2 time</t>
  </si>
  <si>
    <t>panels (MegaBace runs needed for a full genotype)</t>
  </si>
  <si>
    <t>Genotyping error (10%)</t>
  </si>
  <si>
    <t>Contractual Services</t>
  </si>
  <si>
    <t>TOTAL CONTRACTUAL SERVICES</t>
  </si>
  <si>
    <t>TOTAL SUPPLIES</t>
  </si>
  <si>
    <t>Supplies</t>
  </si>
  <si>
    <t>costs from budget</t>
  </si>
  <si>
    <t>fish</t>
  </si>
  <si>
    <t>Existing grad student</t>
  </si>
  <si>
    <t>Faculty 1</t>
  </si>
  <si>
    <t>Faculty 2</t>
  </si>
  <si>
    <t>Equipment</t>
  </si>
  <si>
    <t>Other</t>
  </si>
  <si>
    <t>Publication costs</t>
  </si>
  <si>
    <t>Total Other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</si>
</sst>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&quot;$&quot;* #,##0_);_(&quot;$&quot;* \(#,##0\);_(&quot;$&quot;* &quot;-&quot;??_);_(@_)"/>
    <numFmt numFmtId="166" formatCode="_(&quot;$&quot;* #,##0.000_);_(&quot;$&quot;* \(#,##0.000\);_(&quot;$&quot;* &quot;-&quot;???_);_(@_)"/>
    <numFmt numFmtId="167" formatCode="0.0000"/>
    <numFmt numFmtId="168" formatCode="0.0"/>
    <numFmt numFmtId="169" formatCode="_(&quot;$&quot;* #,##0.0_);_(&quot;$&quot;* \(#,##0.0\);_(&quot;$&quot;* &quot;-&quot;??_);_(@_)"/>
    <numFmt numFmtId="170" formatCode="_(&quot;$&quot;* #,##0.0_);_(&quot;$&quot;* \(#,##0.0\);_(&quot;$&quot;* &quot;-&quot;?_);_(@_)"/>
    <numFmt numFmtId="171" formatCode="_(* #,##0.0_);_(* \(#,##0.0\);_(* &quot;-&quot;??_);_(@_)"/>
    <numFmt numFmtId="172" formatCode="_(* #,##0_);_(* \(#,##0\);_(* &quot;-&quot;??_);_(@_)"/>
  </numFmts>
  <fonts count="43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i/>
      <sz val="9"/>
      <name val="Times New Roman"/>
      <family val="1"/>
    </font>
    <font>
      <u val="singleAccounting"/>
      <sz val="9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9" fontId="1" fillId="0" borderId="0" xfId="57" applyNumberFormat="1" applyFont="1" applyAlignment="1">
      <alignment/>
    </xf>
    <xf numFmtId="4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9" fontId="1" fillId="0" borderId="0" xfId="57" applyNumberFormat="1" applyFont="1" applyAlignment="1">
      <alignment horizontal="centerContinuous"/>
    </xf>
    <xf numFmtId="9" fontId="1" fillId="0" borderId="0" xfId="5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2" fontId="1" fillId="0" borderId="0" xfId="0" applyNumberFormat="1" applyFont="1" applyAlignment="1">
      <alignment horizontal="right"/>
    </xf>
    <xf numFmtId="42" fontId="5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9" fontId="2" fillId="0" borderId="0" xfId="57" applyNumberFormat="1" applyFont="1" applyAlignment="1">
      <alignment/>
    </xf>
    <xf numFmtId="42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2" fontId="5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44" fontId="1" fillId="0" borderId="0" xfId="0" applyNumberFormat="1" applyFont="1" applyAlignment="1">
      <alignment/>
    </xf>
    <xf numFmtId="44" fontId="1" fillId="0" borderId="0" xfId="44" applyFont="1" applyAlignment="1">
      <alignment/>
    </xf>
    <xf numFmtId="6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4" fontId="7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5" fontId="1" fillId="0" borderId="0" xfId="44" applyNumberFormat="1" applyFont="1" applyAlignment="1">
      <alignment/>
    </xf>
    <xf numFmtId="172" fontId="1" fillId="0" borderId="0" xfId="42" applyNumberFormat="1" applyFont="1" applyAlignment="1">
      <alignment/>
    </xf>
    <xf numFmtId="0" fontId="8" fillId="0" borderId="0" xfId="0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Font="1" applyAlignment="1">
      <alignment/>
    </xf>
    <xf numFmtId="4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G67" sqref="G67"/>
    </sheetView>
  </sheetViews>
  <sheetFormatPr defaultColWidth="9.140625" defaultRowHeight="12.75"/>
  <cols>
    <col min="1" max="1" width="4.7109375" style="1" customWidth="1"/>
    <col min="2" max="3" width="8.8515625" style="1" customWidth="1"/>
    <col min="4" max="4" width="32.421875" style="1" customWidth="1"/>
    <col min="5" max="5" width="13.7109375" style="1" customWidth="1"/>
    <col min="6" max="6" width="8.8515625" style="10" customWidth="1"/>
    <col min="7" max="7" width="11.57421875" style="5" customWidth="1"/>
    <col min="8" max="8" width="8.8515625" style="1" customWidth="1"/>
    <col min="9" max="9" width="10.28125" style="1" bestFit="1" customWidth="1"/>
    <col min="10" max="10" width="9.7109375" style="1" customWidth="1"/>
    <col min="11" max="16384" width="8.8515625" style="1" customWidth="1"/>
  </cols>
  <sheetData>
    <row r="1" spans="4:6" ht="12">
      <c r="D1" s="2" t="s">
        <v>0</v>
      </c>
      <c r="E1" s="3"/>
      <c r="F1" s="4"/>
    </row>
    <row r="2" spans="4:6" ht="12">
      <c r="D2" s="6"/>
      <c r="E2" s="7" t="s">
        <v>1</v>
      </c>
      <c r="F2" s="4"/>
    </row>
    <row r="3" spans="3:6" ht="12">
      <c r="C3" s="7"/>
      <c r="D3" s="7"/>
      <c r="E3" s="8"/>
      <c r="F3" s="9"/>
    </row>
    <row r="4" spans="7:10" ht="12">
      <c r="G4" s="1">
        <v>2009</v>
      </c>
      <c r="H4" s="1">
        <v>2010</v>
      </c>
      <c r="I4" s="1">
        <v>2011</v>
      </c>
      <c r="J4" s="1" t="s">
        <v>63</v>
      </c>
    </row>
    <row r="5" ht="12">
      <c r="A5" s="11" t="s">
        <v>2</v>
      </c>
    </row>
    <row r="6" spans="1:6" ht="12">
      <c r="A6" s="11"/>
      <c r="B6" s="12" t="s">
        <v>3</v>
      </c>
      <c r="E6" s="13" t="s">
        <v>4</v>
      </c>
      <c r="F6" s="13" t="s">
        <v>5</v>
      </c>
    </row>
    <row r="7" spans="2:9" ht="12">
      <c r="B7" s="1" t="s">
        <v>74</v>
      </c>
      <c r="D7" s="1" t="s">
        <v>6</v>
      </c>
      <c r="E7" s="14">
        <v>0.5</v>
      </c>
      <c r="F7" s="15">
        <v>8000</v>
      </c>
      <c r="G7" s="16">
        <f>E7*F7*1.04</f>
        <v>4160</v>
      </c>
      <c r="H7" s="26">
        <f>G7*1.04</f>
        <v>4326.400000000001</v>
      </c>
      <c r="I7" s="26">
        <f>H7*1.04</f>
        <v>4499.456000000001</v>
      </c>
    </row>
    <row r="8" spans="2:10" ht="12">
      <c r="B8" s="1" t="s">
        <v>75</v>
      </c>
      <c r="D8" s="1" t="s">
        <v>6</v>
      </c>
      <c r="E8" s="14">
        <v>0.5</v>
      </c>
      <c r="F8" s="15">
        <v>10000</v>
      </c>
      <c r="G8" s="16">
        <f>E8*F8*1.04</f>
        <v>5200</v>
      </c>
      <c r="H8" s="26">
        <f>G8*1.04</f>
        <v>5408</v>
      </c>
      <c r="I8" s="26">
        <f>H8*1.04</f>
        <v>5624.320000000001</v>
      </c>
      <c r="J8" s="2"/>
    </row>
    <row r="9" spans="4:9" ht="12">
      <c r="D9" s="1" t="s">
        <v>7</v>
      </c>
      <c r="E9" s="14"/>
      <c r="F9" s="15"/>
      <c r="G9" s="21">
        <f>SUM(G7:G8)</f>
        <v>9360</v>
      </c>
      <c r="H9" s="21">
        <f>SUM(H7:H8)</f>
        <v>9734.400000000001</v>
      </c>
      <c r="I9" s="21">
        <f>SUM(I7:I8)</f>
        <v>10123.776000000002</v>
      </c>
    </row>
    <row r="10" spans="5:6" ht="12">
      <c r="E10" s="14"/>
      <c r="F10" s="15"/>
    </row>
    <row r="11" spans="1:6" ht="12">
      <c r="A11" s="11"/>
      <c r="B11" s="12" t="s">
        <v>8</v>
      </c>
      <c r="E11" s="13" t="s">
        <v>4</v>
      </c>
      <c r="F11" s="13" t="s">
        <v>5</v>
      </c>
    </row>
    <row r="12" spans="2:9" ht="12">
      <c r="B12" s="1" t="s">
        <v>9</v>
      </c>
      <c r="D12" s="1" t="s">
        <v>64</v>
      </c>
      <c r="E12" s="14">
        <v>6</v>
      </c>
      <c r="F12" s="15">
        <f>3600*1.04</f>
        <v>3744</v>
      </c>
      <c r="G12" s="16">
        <f>E12*F12</f>
        <v>22464</v>
      </c>
      <c r="H12" s="26">
        <f>G12*1.04</f>
        <v>23362.56</v>
      </c>
      <c r="I12" s="26">
        <f>H12*1.04</f>
        <v>24297.062400000003</v>
      </c>
    </row>
    <row r="13" spans="5:7" ht="13.5">
      <c r="E13" s="14"/>
      <c r="F13" s="15"/>
      <c r="G13" s="17">
        <f>E13*F13</f>
        <v>0</v>
      </c>
    </row>
    <row r="14" spans="4:9" ht="12">
      <c r="D14" s="1" t="s">
        <v>10</v>
      </c>
      <c r="E14" s="14"/>
      <c r="F14" s="15"/>
      <c r="G14" s="21">
        <f>SUM(G12:G13)</f>
        <v>22464</v>
      </c>
      <c r="H14" s="21">
        <f>SUM(H12:H13)</f>
        <v>23362.56</v>
      </c>
      <c r="I14" s="21">
        <f>SUM(I12:I13)</f>
        <v>24297.062400000003</v>
      </c>
    </row>
    <row r="15" spans="5:6" ht="12">
      <c r="E15" s="14"/>
      <c r="F15" s="15"/>
    </row>
    <row r="16" spans="2:6" ht="12">
      <c r="B16" s="12" t="s">
        <v>11</v>
      </c>
      <c r="E16" s="14"/>
      <c r="F16" s="15"/>
    </row>
    <row r="17" spans="2:9" ht="12">
      <c r="B17" s="12" t="s">
        <v>12</v>
      </c>
      <c r="E17" s="14">
        <v>12</v>
      </c>
      <c r="F17" s="15">
        <v>1695</v>
      </c>
      <c r="G17" s="16">
        <f>E17*F17</f>
        <v>20340</v>
      </c>
      <c r="H17" s="26">
        <f aca="true" t="shared" si="0" ref="H17:I19">G17*1.05</f>
        <v>21357</v>
      </c>
      <c r="I17" s="27">
        <f t="shared" si="0"/>
        <v>22424.850000000002</v>
      </c>
    </row>
    <row r="18" spans="2:9" ht="12">
      <c r="B18" s="12" t="s">
        <v>73</v>
      </c>
      <c r="E18" s="14">
        <v>6</v>
      </c>
      <c r="F18" s="15">
        <v>1803</v>
      </c>
      <c r="G18" s="16">
        <f>$E18*$F18</f>
        <v>10818</v>
      </c>
      <c r="H18" s="26">
        <f t="shared" si="0"/>
        <v>11358.9</v>
      </c>
      <c r="I18" s="26">
        <f t="shared" si="0"/>
        <v>11926.845</v>
      </c>
    </row>
    <row r="19" spans="2:9" ht="12">
      <c r="B19" s="1" t="s">
        <v>54</v>
      </c>
      <c r="D19" s="37">
        <v>12</v>
      </c>
      <c r="E19" s="14">
        <v>300</v>
      </c>
      <c r="F19" s="18"/>
      <c r="G19" s="16">
        <f>D19*E19</f>
        <v>3600</v>
      </c>
      <c r="H19" s="26">
        <f t="shared" si="0"/>
        <v>3780</v>
      </c>
      <c r="I19" s="26">
        <f t="shared" si="0"/>
        <v>3969</v>
      </c>
    </row>
    <row r="20" spans="4:9" ht="12">
      <c r="D20" s="1" t="s">
        <v>55</v>
      </c>
      <c r="G20" s="5">
        <f>SUM(G17:G19)</f>
        <v>34758</v>
      </c>
      <c r="H20" s="5">
        <f>SUM(H17:H19)</f>
        <v>36495.9</v>
      </c>
      <c r="I20" s="5">
        <f>SUM(I17:I19)</f>
        <v>38320.695</v>
      </c>
    </row>
    <row r="21" ht="12">
      <c r="J21" s="19"/>
    </row>
    <row r="22" spans="4:10" ht="12">
      <c r="D22" s="19" t="s">
        <v>13</v>
      </c>
      <c r="E22" s="19"/>
      <c r="F22" s="20"/>
      <c r="G22" s="21">
        <f>G9+G20+G14</f>
        <v>66582</v>
      </c>
      <c r="H22" s="21">
        <f>H9+H20+H14</f>
        <v>69592.86</v>
      </c>
      <c r="I22" s="21">
        <f>I9+I20+I14</f>
        <v>72741.53340000001</v>
      </c>
      <c r="J22" s="21">
        <f>SUM(G22:I22)</f>
        <v>208916.3934</v>
      </c>
    </row>
    <row r="23" ht="12">
      <c r="J23" s="19"/>
    </row>
    <row r="24" spans="1:10" ht="12">
      <c r="A24" s="11" t="s">
        <v>14</v>
      </c>
      <c r="D24" s="13" t="s">
        <v>5</v>
      </c>
      <c r="J24" s="19"/>
    </row>
    <row r="25" spans="1:10" ht="12">
      <c r="A25" s="11"/>
      <c r="B25" s="1" t="s">
        <v>3</v>
      </c>
      <c r="D25" s="22">
        <v>0.241</v>
      </c>
      <c r="G25" s="5">
        <f>G9*$D25</f>
        <v>2255.7599999999998</v>
      </c>
      <c r="H25" s="5">
        <f>H9*$D25</f>
        <v>2345.9904</v>
      </c>
      <c r="I25" s="5">
        <f>I9*$D25</f>
        <v>2439.8300160000003</v>
      </c>
      <c r="J25" s="19"/>
    </row>
    <row r="26" spans="1:10" ht="12">
      <c r="A26" s="11"/>
      <c r="B26" s="1" t="s">
        <v>11</v>
      </c>
      <c r="D26" s="22">
        <v>0.133</v>
      </c>
      <c r="G26" s="5">
        <f>SUM(G17:G18)*$D26</f>
        <v>4144.014</v>
      </c>
      <c r="H26" s="5">
        <f>SUM(H17:H18)*$D26</f>
        <v>4351.2147</v>
      </c>
      <c r="I26" s="5">
        <f>SUM(I17:I18)*$D26</f>
        <v>4568.7754350000005</v>
      </c>
      <c r="J26" s="19"/>
    </row>
    <row r="27" spans="1:10" ht="12">
      <c r="A27" s="11"/>
      <c r="B27" s="1" t="s">
        <v>15</v>
      </c>
      <c r="D27" s="22">
        <v>0.29</v>
      </c>
      <c r="G27" s="5">
        <f>G14*$D27</f>
        <v>6514.5599999999995</v>
      </c>
      <c r="H27" s="5">
        <f>H14*$D27</f>
        <v>6775.1424</v>
      </c>
      <c r="I27" s="5">
        <f>I14*$D27</f>
        <v>7046.148096</v>
      </c>
      <c r="J27" s="19"/>
    </row>
    <row r="28" spans="1:10" ht="12">
      <c r="A28" s="11"/>
      <c r="B28" s="1" t="s">
        <v>16</v>
      </c>
      <c r="D28" s="22">
        <v>0.127</v>
      </c>
      <c r="G28" s="5">
        <f>G19*$D28</f>
        <v>457.2</v>
      </c>
      <c r="H28" s="5">
        <f>H19*$D28</f>
        <v>480.06</v>
      </c>
      <c r="I28" s="5">
        <f>I19*$D28</f>
        <v>504.063</v>
      </c>
      <c r="J28" s="19"/>
    </row>
    <row r="29" spans="4:10" ht="13.5">
      <c r="D29" s="22"/>
      <c r="G29" s="23"/>
      <c r="H29" s="23"/>
      <c r="I29" s="23"/>
      <c r="J29" s="19"/>
    </row>
    <row r="30" spans="4:10" ht="12">
      <c r="D30" s="24" t="s">
        <v>17</v>
      </c>
      <c r="E30" s="19"/>
      <c r="F30" s="20"/>
      <c r="G30" s="21">
        <f>SUM(G25:G28)</f>
        <v>13371.534</v>
      </c>
      <c r="H30" s="21">
        <f>SUM(H25:H28)</f>
        <v>13952.4075</v>
      </c>
      <c r="I30" s="21">
        <f>SUM(I25:I28)</f>
        <v>14558.816547</v>
      </c>
      <c r="J30" s="21">
        <f>SUM(G30:I30)</f>
        <v>41882.758047</v>
      </c>
    </row>
    <row r="31" spans="4:10" ht="12">
      <c r="D31" s="24"/>
      <c r="E31" s="19"/>
      <c r="F31" s="20"/>
      <c r="G31" s="21"/>
      <c r="H31" s="21"/>
      <c r="I31" s="21"/>
      <c r="J31" s="21"/>
    </row>
    <row r="32" spans="1:10" ht="12">
      <c r="A32" s="11" t="s">
        <v>76</v>
      </c>
      <c r="D32" s="24"/>
      <c r="E32" s="19"/>
      <c r="F32" s="20"/>
      <c r="G32" s="21"/>
      <c r="H32" s="21"/>
      <c r="I32" s="21"/>
      <c r="J32" s="21"/>
    </row>
    <row r="33" spans="4:10" ht="12">
      <c r="D33" s="24"/>
      <c r="E33" s="19"/>
      <c r="F33" s="20"/>
      <c r="G33" s="21"/>
      <c r="H33" s="21"/>
      <c r="I33" s="21"/>
      <c r="J33" s="21"/>
    </row>
    <row r="34" ht="12">
      <c r="J34" s="19"/>
    </row>
    <row r="35" spans="1:10" ht="12">
      <c r="A35" s="11" t="s">
        <v>67</v>
      </c>
      <c r="J35" s="19"/>
    </row>
    <row r="36" spans="1:10" ht="12">
      <c r="A36" s="11"/>
      <c r="B36" s="1" t="s">
        <v>24</v>
      </c>
      <c r="E36" s="1">
        <v>12</v>
      </c>
      <c r="F36" s="28">
        <v>600</v>
      </c>
      <c r="G36" s="5">
        <f>$F36*$E36</f>
        <v>7200</v>
      </c>
      <c r="H36" s="5">
        <f>$F36*$E36</f>
        <v>7200</v>
      </c>
      <c r="I36" s="5">
        <f>$F36*$E36</f>
        <v>7200</v>
      </c>
      <c r="J36" s="19"/>
    </row>
    <row r="37" spans="2:10" ht="12">
      <c r="B37" s="1" t="s">
        <v>25</v>
      </c>
      <c r="E37" s="36">
        <f>fish!C35</f>
        <v>229.31428571428575</v>
      </c>
      <c r="F37" s="29">
        <v>150</v>
      </c>
      <c r="G37" s="5">
        <f>$F37*$E37/3</f>
        <v>11465.714285714288</v>
      </c>
      <c r="H37" s="5">
        <f>$F37*$E37/3</f>
        <v>11465.714285714288</v>
      </c>
      <c r="I37" s="5">
        <f>$F37*$E37/3</f>
        <v>11465.714285714288</v>
      </c>
      <c r="J37" s="19"/>
    </row>
    <row r="38" spans="4:10" ht="12">
      <c r="D38" s="24" t="s">
        <v>68</v>
      </c>
      <c r="G38" s="21">
        <f>SUM(G36:G37)</f>
        <v>18665.71428571429</v>
      </c>
      <c r="H38" s="21">
        <f>SUM(H36:H37)</f>
        <v>18665.71428571429</v>
      </c>
      <c r="I38" s="21">
        <f>SUM(I36:I37)</f>
        <v>18665.71428571429</v>
      </c>
      <c r="J38" s="21">
        <f>SUM(G38:I38)</f>
        <v>55997.14285714287</v>
      </c>
    </row>
    <row r="39" ht="12">
      <c r="J39" s="19"/>
    </row>
    <row r="40" spans="1:10" ht="12">
      <c r="A40" s="11" t="s">
        <v>70</v>
      </c>
      <c r="J40" s="19"/>
    </row>
    <row r="41" spans="2:10" ht="12">
      <c r="B41" s="1" t="s">
        <v>43</v>
      </c>
      <c r="G41" s="5">
        <v>5000</v>
      </c>
      <c r="H41" s="37">
        <v>5000</v>
      </c>
      <c r="I41" s="37">
        <v>1000</v>
      </c>
      <c r="J41" s="19"/>
    </row>
    <row r="42" spans="2:10" ht="12">
      <c r="B42" s="1" t="s">
        <v>49</v>
      </c>
      <c r="G42" s="5">
        <v>5000</v>
      </c>
      <c r="H42" s="37">
        <v>5000</v>
      </c>
      <c r="I42" s="37">
        <v>2000</v>
      </c>
      <c r="J42" s="19"/>
    </row>
    <row r="43" spans="8:10" ht="12">
      <c r="H43" s="37"/>
      <c r="I43" s="37"/>
      <c r="J43" s="19"/>
    </row>
    <row r="44" spans="4:10" ht="12">
      <c r="D44" s="19" t="s">
        <v>69</v>
      </c>
      <c r="G44" s="21">
        <f>SUM(G40:G42)</f>
        <v>10000</v>
      </c>
      <c r="H44" s="21">
        <f>SUM(H40:H42)</f>
        <v>10000</v>
      </c>
      <c r="I44" s="21">
        <f>SUM(I40:I42)</f>
        <v>3000</v>
      </c>
      <c r="J44" s="21">
        <f>SUM(G44:I44)</f>
        <v>23000</v>
      </c>
    </row>
    <row r="45" ht="12">
      <c r="J45" s="19"/>
    </row>
    <row r="46" spans="1:10" ht="12">
      <c r="A46" s="25" t="s">
        <v>18</v>
      </c>
      <c r="G46" s="21"/>
      <c r="J46" s="19"/>
    </row>
    <row r="47" spans="2:10" ht="12">
      <c r="B47" s="1" t="s">
        <v>19</v>
      </c>
      <c r="D47" s="37">
        <v>125</v>
      </c>
      <c r="E47" s="1">
        <v>62</v>
      </c>
      <c r="F47" s="38">
        <v>1</v>
      </c>
      <c r="G47" s="5">
        <f>D47*E47*F47</f>
        <v>7750</v>
      </c>
      <c r="H47" s="27">
        <f aca="true" t="shared" si="1" ref="H47:I49">G47*1.05</f>
        <v>8137.5</v>
      </c>
      <c r="I47" s="27">
        <f t="shared" si="1"/>
        <v>8544.375</v>
      </c>
      <c r="J47" s="19"/>
    </row>
    <row r="48" spans="2:10" ht="12">
      <c r="B48" s="1" t="s">
        <v>51</v>
      </c>
      <c r="D48" s="37">
        <v>900</v>
      </c>
      <c r="E48" s="1">
        <v>2</v>
      </c>
      <c r="F48" s="38">
        <v>1</v>
      </c>
      <c r="G48" s="5">
        <f>D48*E48*F48</f>
        <v>1800</v>
      </c>
      <c r="H48" s="27">
        <f t="shared" si="1"/>
        <v>1890</v>
      </c>
      <c r="I48" s="27">
        <f t="shared" si="1"/>
        <v>1984.5</v>
      </c>
      <c r="J48" s="19"/>
    </row>
    <row r="49" spans="2:10" ht="12">
      <c r="B49" s="1" t="s">
        <v>52</v>
      </c>
      <c r="D49" s="37">
        <v>1000</v>
      </c>
      <c r="E49" s="1">
        <v>2</v>
      </c>
      <c r="G49" s="5">
        <f>D49*E49</f>
        <v>2000</v>
      </c>
      <c r="H49" s="27">
        <f t="shared" si="1"/>
        <v>2100</v>
      </c>
      <c r="I49" s="27">
        <f t="shared" si="1"/>
        <v>2205</v>
      </c>
      <c r="J49" s="19"/>
    </row>
    <row r="50" ht="12">
      <c r="J50" s="19"/>
    </row>
    <row r="51" spans="4:10" ht="12">
      <c r="D51" s="19" t="s">
        <v>53</v>
      </c>
      <c r="E51" s="19"/>
      <c r="F51" s="20"/>
      <c r="G51" s="21">
        <f>SUM(G47:G49)</f>
        <v>11550</v>
      </c>
      <c r="H51" s="21">
        <f>SUM(H47:H49)</f>
        <v>12127.5</v>
      </c>
      <c r="I51" s="21">
        <f>SUM(I47:I49)</f>
        <v>12733.875</v>
      </c>
      <c r="J51" s="21">
        <f>SUM(G51:I51)</f>
        <v>36411.375</v>
      </c>
    </row>
    <row r="52" ht="12">
      <c r="J52" s="19"/>
    </row>
    <row r="53" spans="1:10" ht="12">
      <c r="A53" s="11" t="s">
        <v>77</v>
      </c>
      <c r="J53" s="19"/>
    </row>
    <row r="54" spans="2:10" ht="12">
      <c r="B54" s="1" t="s">
        <v>20</v>
      </c>
      <c r="F54" s="16">
        <f>3139*3+800</f>
        <v>10217</v>
      </c>
      <c r="G54" s="16">
        <f>F54*2</f>
        <v>20434</v>
      </c>
      <c r="H54" s="16">
        <f>G54*1.1</f>
        <v>22477.4</v>
      </c>
      <c r="I54" s="16">
        <f>H54*1.1/2</f>
        <v>12362.570000000002</v>
      </c>
      <c r="J54" s="5">
        <f>SUM(G54:I54)</f>
        <v>55273.97</v>
      </c>
    </row>
    <row r="55" spans="2:10" ht="12">
      <c r="B55" s="1" t="s">
        <v>78</v>
      </c>
      <c r="F55" s="1"/>
      <c r="G55" s="1"/>
      <c r="H55" s="16">
        <v>1000</v>
      </c>
      <c r="I55" s="16">
        <v>1000</v>
      </c>
      <c r="J55" s="16">
        <v>1000</v>
      </c>
    </row>
    <row r="56" spans="8:10" ht="12">
      <c r="H56" s="5"/>
      <c r="I56" s="5"/>
      <c r="J56" s="19"/>
    </row>
    <row r="57" spans="4:10" ht="12">
      <c r="D57" s="1" t="s">
        <v>79</v>
      </c>
      <c r="G57" s="21">
        <f>SUM(G54:G55)</f>
        <v>20434</v>
      </c>
      <c r="H57" s="21">
        <f>SUM(H54:H55)</f>
        <v>23477.4</v>
      </c>
      <c r="I57" s="21">
        <f>SUM(I54:I55)</f>
        <v>13362.570000000002</v>
      </c>
      <c r="J57" s="21">
        <f>SUM(J54:J55)</f>
        <v>56273.97</v>
      </c>
    </row>
    <row r="58" spans="8:10" ht="12">
      <c r="H58" s="5"/>
      <c r="I58" s="5"/>
      <c r="J58" s="19"/>
    </row>
    <row r="59" spans="8:10" ht="12">
      <c r="H59" s="5"/>
      <c r="I59" s="5"/>
      <c r="J59" s="19"/>
    </row>
    <row r="60" spans="4:10" ht="12">
      <c r="D60" s="19" t="s">
        <v>21</v>
      </c>
      <c r="E60" s="19"/>
      <c r="F60" s="20"/>
      <c r="G60" s="21">
        <f>G22+G30+G44+G57+G51+G38</f>
        <v>140603.2482857143</v>
      </c>
      <c r="H60" s="21">
        <f>H22+H30+H44+H57+H51+H38</f>
        <v>147815.8817857143</v>
      </c>
      <c r="I60" s="21">
        <f>I22+I30+I44+I57+I51+I38</f>
        <v>135062.5092327143</v>
      </c>
      <c r="J60" s="21">
        <f>J22+J30+J44+J57+J51+J38</f>
        <v>422481.6393041428</v>
      </c>
    </row>
    <row r="61" spans="8:9" ht="12">
      <c r="H61" s="5"/>
      <c r="I61" s="5"/>
    </row>
    <row r="62" spans="1:10" ht="12">
      <c r="A62" s="11" t="s">
        <v>56</v>
      </c>
      <c r="E62" s="1">
        <v>0.26</v>
      </c>
      <c r="G62" s="26">
        <f>G66*$E62</f>
        <v>31244.00455428572</v>
      </c>
      <c r="H62" s="26">
        <f>H66*$E62</f>
        <v>32588.00526428572</v>
      </c>
      <c r="I62" s="26">
        <f>I66*$E62</f>
        <v>31901.984200505718</v>
      </c>
      <c r="J62" s="5">
        <f>SUM(G62:I62)</f>
        <v>95733.99401907716</v>
      </c>
    </row>
    <row r="63" spans="8:9" ht="12">
      <c r="H63" s="5"/>
      <c r="I63" s="5"/>
    </row>
    <row r="64" spans="4:10" ht="12">
      <c r="D64" s="19" t="s">
        <v>22</v>
      </c>
      <c r="E64" s="19"/>
      <c r="F64" s="20"/>
      <c r="G64" s="21">
        <f>G60+G62</f>
        <v>171847.25284000003</v>
      </c>
      <c r="H64" s="21">
        <f>H60+H62</f>
        <v>180403.88705000002</v>
      </c>
      <c r="I64" s="21">
        <f>I60+I62</f>
        <v>166964.49343322002</v>
      </c>
      <c r="J64" s="21">
        <f>SUM(G64:I64)</f>
        <v>519215.63332322007</v>
      </c>
    </row>
    <row r="65" spans="4:9" ht="12">
      <c r="D65" s="19"/>
      <c r="E65" s="19"/>
      <c r="F65" s="20"/>
      <c r="G65" s="21"/>
      <c r="H65" s="21"/>
      <c r="I65" s="21"/>
    </row>
    <row r="66" spans="4:10" ht="12">
      <c r="D66" s="1" t="s">
        <v>23</v>
      </c>
      <c r="G66" s="5">
        <f>G60-G54</f>
        <v>120169.2482857143</v>
      </c>
      <c r="H66" s="5">
        <f>H60-H54</f>
        <v>125338.4817857143</v>
      </c>
      <c r="I66" s="5">
        <f>I60-I54</f>
        <v>122699.9392327143</v>
      </c>
      <c r="J66" s="5">
        <f>SUM(G66:I66)</f>
        <v>368207.66930414294</v>
      </c>
    </row>
    <row r="68" spans="4:7" ht="12">
      <c r="D68" s="19" t="s">
        <v>50</v>
      </c>
      <c r="E68" s="19"/>
      <c r="F68" s="20"/>
      <c r="G68" s="21">
        <f>SUM(G64:I64)</f>
        <v>519215.63332322007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M53"/>
  <sheetViews>
    <sheetView zoomScalePageLayoutView="0" workbookViewId="0" topLeftCell="A27">
      <selection activeCell="C54" sqref="C54"/>
    </sheetView>
  </sheetViews>
  <sheetFormatPr defaultColWidth="9.140625" defaultRowHeight="12.75"/>
  <cols>
    <col min="2" max="2" width="18.00390625" style="0" customWidth="1"/>
    <col min="3" max="3" width="11.421875" style="0" bestFit="1" customWidth="1"/>
  </cols>
  <sheetData>
    <row r="4" ht="12.75">
      <c r="B4" t="s">
        <v>26</v>
      </c>
    </row>
    <row r="5" spans="2:13" ht="12.75">
      <c r="B5" t="s">
        <v>27</v>
      </c>
      <c r="C5" t="s">
        <v>30</v>
      </c>
      <c r="D5" t="s">
        <v>31</v>
      </c>
      <c r="E5" t="s">
        <v>32</v>
      </c>
      <c r="F5" t="s">
        <v>33</v>
      </c>
      <c r="L5" s="41" t="s">
        <v>61</v>
      </c>
      <c r="M5" s="41" t="s">
        <v>62</v>
      </c>
    </row>
    <row r="6" spans="2:13" ht="12.75">
      <c r="B6">
        <v>1996</v>
      </c>
      <c r="C6" t="s">
        <v>28</v>
      </c>
      <c r="D6">
        <v>84</v>
      </c>
      <c r="E6">
        <v>0</v>
      </c>
      <c r="F6" s="30">
        <v>0</v>
      </c>
      <c r="H6" t="s">
        <v>34</v>
      </c>
      <c r="L6">
        <v>2004</v>
      </c>
      <c r="M6">
        <f>L6+4</f>
        <v>2008</v>
      </c>
    </row>
    <row r="7" spans="2:13" ht="12.75">
      <c r="B7">
        <v>1996</v>
      </c>
      <c r="C7" t="s">
        <v>29</v>
      </c>
      <c r="D7">
        <v>89</v>
      </c>
      <c r="E7">
        <v>0</v>
      </c>
      <c r="F7" s="30">
        <v>0</v>
      </c>
      <c r="H7" t="s">
        <v>36</v>
      </c>
      <c r="I7">
        <f>AVERAGE(D6,D8,D10,D12,D14,D16,D18,D20,D22)</f>
        <v>388.1111111111111</v>
      </c>
      <c r="L7">
        <v>2005</v>
      </c>
      <c r="M7">
        <f>L7+4</f>
        <v>2009</v>
      </c>
    </row>
    <row r="8" spans="2:13" ht="12.75">
      <c r="B8">
        <v>1997</v>
      </c>
      <c r="C8" t="s">
        <v>28</v>
      </c>
      <c r="D8">
        <v>75</v>
      </c>
      <c r="E8">
        <v>0</v>
      </c>
      <c r="F8" s="30">
        <v>0</v>
      </c>
      <c r="H8" t="s">
        <v>35</v>
      </c>
      <c r="I8">
        <f>AVERAGE(D7,D9,D11,D13,D15,D17,D19,D21,D23)</f>
        <v>398.3333333333333</v>
      </c>
      <c r="L8">
        <v>2006</v>
      </c>
      <c r="M8">
        <f>L8+4</f>
        <v>2010</v>
      </c>
    </row>
    <row r="9" spans="2:13" ht="12.75">
      <c r="B9">
        <v>1997</v>
      </c>
      <c r="C9" t="s">
        <v>29</v>
      </c>
      <c r="D9">
        <v>150</v>
      </c>
      <c r="E9">
        <v>0</v>
      </c>
      <c r="F9" s="30">
        <v>0</v>
      </c>
      <c r="L9">
        <v>2007</v>
      </c>
      <c r="M9">
        <f>L9+4</f>
        <v>2011</v>
      </c>
    </row>
    <row r="10" spans="2:8" ht="12.75">
      <c r="B10">
        <v>1998</v>
      </c>
      <c r="C10" t="s">
        <v>28</v>
      </c>
      <c r="D10">
        <v>365</v>
      </c>
      <c r="E10">
        <v>0</v>
      </c>
      <c r="F10" s="30">
        <v>0</v>
      </c>
      <c r="H10" t="s">
        <v>37</v>
      </c>
    </row>
    <row r="11" spans="2:6" ht="12.75">
      <c r="B11">
        <v>1998</v>
      </c>
      <c r="C11" t="s">
        <v>29</v>
      </c>
      <c r="D11">
        <v>654</v>
      </c>
      <c r="E11">
        <v>0</v>
      </c>
      <c r="F11" s="30">
        <v>0</v>
      </c>
    </row>
    <row r="12" spans="2:6" ht="12.75">
      <c r="B12">
        <v>2000</v>
      </c>
      <c r="C12" t="s">
        <v>28</v>
      </c>
      <c r="D12">
        <v>962</v>
      </c>
      <c r="E12">
        <v>0</v>
      </c>
      <c r="F12" s="30">
        <v>0</v>
      </c>
    </row>
    <row r="13" spans="2:6" ht="12.75">
      <c r="B13">
        <v>2000</v>
      </c>
      <c r="C13" t="s">
        <v>29</v>
      </c>
      <c r="D13">
        <v>1030</v>
      </c>
      <c r="E13">
        <v>0</v>
      </c>
      <c r="F13" s="30">
        <v>0</v>
      </c>
    </row>
    <row r="14" spans="2:6" ht="12.75">
      <c r="B14">
        <v>2001</v>
      </c>
      <c r="C14" t="s">
        <v>28</v>
      </c>
      <c r="D14">
        <v>271</v>
      </c>
      <c r="E14">
        <v>0</v>
      </c>
      <c r="F14" s="30">
        <v>0</v>
      </c>
    </row>
    <row r="15" spans="2:6" ht="12.75">
      <c r="B15">
        <v>2001</v>
      </c>
      <c r="C15" t="s">
        <v>29</v>
      </c>
      <c r="D15">
        <v>431</v>
      </c>
      <c r="E15">
        <v>0</v>
      </c>
      <c r="F15" s="30">
        <v>0</v>
      </c>
    </row>
    <row r="16" spans="2:6" ht="12.75">
      <c r="B16">
        <v>2003</v>
      </c>
      <c r="C16" t="s">
        <v>28</v>
      </c>
      <c r="D16">
        <v>89</v>
      </c>
      <c r="E16">
        <v>51</v>
      </c>
      <c r="F16" s="30">
        <v>0.57</v>
      </c>
    </row>
    <row r="17" spans="2:6" ht="12.75">
      <c r="B17">
        <v>2003</v>
      </c>
      <c r="C17" t="s">
        <v>29</v>
      </c>
      <c r="D17">
        <v>184</v>
      </c>
      <c r="E17">
        <v>106</v>
      </c>
      <c r="F17" s="30">
        <v>0.58</v>
      </c>
    </row>
    <row r="18" spans="2:6" ht="12.75">
      <c r="B18">
        <v>2004</v>
      </c>
      <c r="C18" t="s">
        <v>28</v>
      </c>
      <c r="D18">
        <v>589</v>
      </c>
      <c r="E18" s="39">
        <v>549</v>
      </c>
      <c r="F18" s="30">
        <v>0.93</v>
      </c>
    </row>
    <row r="19" spans="2:6" ht="12.75">
      <c r="B19">
        <v>2004</v>
      </c>
      <c r="C19" t="s">
        <v>29</v>
      </c>
      <c r="D19">
        <v>510</v>
      </c>
      <c r="E19">
        <v>402</v>
      </c>
      <c r="F19" s="30">
        <v>0.79</v>
      </c>
    </row>
    <row r="20" spans="2:6" ht="12.75">
      <c r="B20">
        <v>2005</v>
      </c>
      <c r="C20" t="s">
        <v>28</v>
      </c>
      <c r="D20">
        <v>500</v>
      </c>
      <c r="E20">
        <v>475</v>
      </c>
      <c r="F20" s="30">
        <v>0.95</v>
      </c>
    </row>
    <row r="21" spans="2:6" ht="12.75">
      <c r="B21">
        <v>2005</v>
      </c>
      <c r="C21" t="s">
        <v>29</v>
      </c>
      <c r="D21">
        <v>348</v>
      </c>
      <c r="E21">
        <v>347</v>
      </c>
      <c r="F21" s="30">
        <v>1</v>
      </c>
    </row>
    <row r="22" spans="2:6" ht="12.75">
      <c r="B22">
        <v>2006</v>
      </c>
      <c r="C22" t="s">
        <v>28</v>
      </c>
      <c r="D22">
        <v>558</v>
      </c>
      <c r="E22">
        <v>545</v>
      </c>
      <c r="F22" s="30">
        <v>0.98</v>
      </c>
    </row>
    <row r="23" spans="2:6" ht="12.75">
      <c r="B23">
        <v>2006</v>
      </c>
      <c r="C23" t="s">
        <v>29</v>
      </c>
      <c r="D23">
        <v>189</v>
      </c>
      <c r="E23">
        <v>182</v>
      </c>
      <c r="F23" s="30">
        <v>0.96</v>
      </c>
    </row>
    <row r="24" spans="4:6" ht="12.75">
      <c r="D24" s="31">
        <f>SUM(D6:D23)</f>
        <v>7078</v>
      </c>
      <c r="E24" s="31">
        <f>SUM(E6:E23)-E18</f>
        <v>2108</v>
      </c>
      <c r="F24" s="31">
        <f>SUM(F6:F23)</f>
        <v>6.760000000000001</v>
      </c>
    </row>
    <row r="25" ht="12.75">
      <c r="D25">
        <f>AVERAGE(D10:D23)</f>
        <v>477.14285714285717</v>
      </c>
    </row>
    <row r="27" ht="12.75">
      <c r="B27" t="s">
        <v>38</v>
      </c>
    </row>
    <row r="28" spans="2:3" ht="12.75">
      <c r="B28" t="s">
        <v>39</v>
      </c>
      <c r="C28">
        <f>E24</f>
        <v>2108</v>
      </c>
    </row>
    <row r="29" spans="2:3" ht="12.75">
      <c r="B29" s="41" t="s">
        <v>57</v>
      </c>
      <c r="C29" s="32">
        <f>D25*2*5</f>
        <v>4771.428571428572</v>
      </c>
    </row>
    <row r="30" ht="12.75">
      <c r="C30" s="40">
        <f>SUM(C28:C29)</f>
        <v>6879.428571428572</v>
      </c>
    </row>
    <row r="32" spans="2:3" ht="12.75">
      <c r="B32" t="s">
        <v>40</v>
      </c>
      <c r="C32">
        <v>12</v>
      </c>
    </row>
    <row r="33" spans="2:3" ht="12.75">
      <c r="B33" s="41" t="s">
        <v>65</v>
      </c>
      <c r="C33">
        <v>3</v>
      </c>
    </row>
    <row r="34" spans="2:3" ht="12.75">
      <c r="B34" s="41" t="s">
        <v>58</v>
      </c>
      <c r="C34" s="32">
        <f>C30/90</f>
        <v>76.43809523809524</v>
      </c>
    </row>
    <row r="35" spans="2:3" ht="12.75">
      <c r="B35" t="s">
        <v>41</v>
      </c>
      <c r="C35" s="32">
        <f>C34*C33</f>
        <v>229.31428571428575</v>
      </c>
    </row>
    <row r="36" spans="2:3" ht="12.75">
      <c r="B36" s="41" t="s">
        <v>59</v>
      </c>
      <c r="C36" s="32">
        <f>C35*0.2</f>
        <v>45.86285714285715</v>
      </c>
    </row>
    <row r="37" spans="2:3" ht="12.75">
      <c r="B37" s="41" t="s">
        <v>66</v>
      </c>
      <c r="C37" s="32">
        <f>C35*0.1</f>
        <v>22.931428571428576</v>
      </c>
    </row>
    <row r="38" spans="2:3" ht="12.75">
      <c r="B38" s="41" t="s">
        <v>60</v>
      </c>
      <c r="C38" s="32">
        <f>SUM(C35:C37)</f>
        <v>298.10857142857145</v>
      </c>
    </row>
    <row r="39" spans="2:4" ht="12.75">
      <c r="B39" t="s">
        <v>46</v>
      </c>
      <c r="C39">
        <f>C30/200</f>
        <v>34.39714285714286</v>
      </c>
      <c r="D39" t="s">
        <v>47</v>
      </c>
    </row>
    <row r="41" ht="12.75">
      <c r="B41" t="s">
        <v>42</v>
      </c>
    </row>
    <row r="42" spans="2:3" ht="12.75">
      <c r="B42" t="s">
        <v>43</v>
      </c>
      <c r="C42" s="33">
        <f>C30*2</f>
        <v>13758.857142857143</v>
      </c>
    </row>
    <row r="43" spans="2:3" ht="12.75">
      <c r="B43" t="s">
        <v>41</v>
      </c>
      <c r="C43" s="33">
        <f>C38*150</f>
        <v>44716.28571428572</v>
      </c>
    </row>
    <row r="44" spans="2:3" ht="12.75">
      <c r="B44" t="s">
        <v>44</v>
      </c>
      <c r="C44" s="33">
        <f>C30</f>
        <v>6879.428571428572</v>
      </c>
    </row>
    <row r="45" spans="2:3" ht="12.75">
      <c r="B45" t="s">
        <v>45</v>
      </c>
      <c r="C45" s="33">
        <f>C39*600</f>
        <v>20638.285714285717</v>
      </c>
    </row>
    <row r="46" ht="12.75">
      <c r="C46" s="35">
        <f>SUM(C42:C45)</f>
        <v>85992.85714285716</v>
      </c>
    </row>
    <row r="48" spans="2:3" ht="12.75">
      <c r="B48" t="s">
        <v>48</v>
      </c>
      <c r="C48" s="34">
        <f>C46/C30</f>
        <v>12.500000000000002</v>
      </c>
    </row>
    <row r="51" spans="2:3" ht="12.75">
      <c r="B51" s="41" t="s">
        <v>71</v>
      </c>
      <c r="C51" s="42">
        <f>6mo!J38+6mo!J44</f>
        <v>78997.14285714287</v>
      </c>
    </row>
    <row r="52" spans="2:3" ht="12.75">
      <c r="B52" s="41" t="s">
        <v>72</v>
      </c>
      <c r="C52" s="32">
        <f>C30</f>
        <v>6879.428571428572</v>
      </c>
    </row>
    <row r="53" ht="12.75">
      <c r="C53" s="34">
        <f>C51/C52</f>
        <v>11.483096602707867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 Hauser</dc:creator>
  <cp:keywords/>
  <dc:description/>
  <cp:lastModifiedBy>Lorenz Hauser</cp:lastModifiedBy>
  <dcterms:created xsi:type="dcterms:W3CDTF">2008-03-26T00:04:31Z</dcterms:created>
  <dcterms:modified xsi:type="dcterms:W3CDTF">2010-02-01T19:36:31Z</dcterms:modified>
  <cp:category/>
  <cp:version/>
  <cp:contentType/>
  <cp:contentStatus/>
</cp:coreProperties>
</file>